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1. Affordability" sheetId="2" state="visible" r:id="rId4"/>
    <sheet name="2. Closing Costs" sheetId="3" state="visible" r:id="rId5"/>
    <sheet name="3. Monthly Budget" sheetId="4" state="visible" r:id="rId6"/>
    <sheet name="4. Savings Plan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Mo Realty Team</author>
  </authors>
  <commentList>
    <comment ref="B9" authorId="0">
      <text>
        <r>
          <rPr>
            <sz val="10"/>
            <rFont val="Arial"/>
            <family val="2"/>
          </rPr>
          <t xml:space="preserve">Check today's rate at ratehub.ca before trusting this.</t>
        </r>
      </text>
    </comment>
  </commentList>
</comments>
</file>

<file path=xl/sharedStrings.xml><?xml version="1.0" encoding="utf-8"?>
<sst xmlns="http://schemas.openxmlformats.org/spreadsheetml/2006/main" count="151" uniqueCount="147">
  <si>
    <t xml:space="preserve">MO REALTY TEAM</t>
  </si>
  <si>
    <t xml:space="preserve">Home Buying Budget Planner</t>
  </si>
  <si>
    <t xml:space="preserve">Built for GTA buyers by Mo Realty Team  ·  morealtyteam.com  ·  416-886-6306</t>
  </si>
  <si>
    <t xml:space="preserve">How to use this workbook</t>
  </si>
  <si>
    <t xml:space="preserve">Fill in only the YELLOW cells with BLUE text. Everything else calculates itself.</t>
  </si>
  <si>
    <t xml:space="preserve">1. Affordability</t>
  </si>
  <si>
    <t xml:space="preserve">Start here. Enter your income, debts and down payment to see the price range a lender is likely to approve, and what the monthly payment looks like.</t>
  </si>
  <si>
    <t xml:space="preserve">2. Closing Costs</t>
  </si>
  <si>
    <t xml:space="preserve">The cash you need on closing day ON TOP of your down payment. This is the number that surprises most first-time buyers.</t>
  </si>
  <si>
    <t xml:space="preserve">3. Monthly Budget</t>
  </si>
  <si>
    <t xml:space="preserve">What owning actually costs each month once the mortgage, taxes, utilities and maintenance are all in.</t>
  </si>
  <si>
    <t xml:space="preserve">4. Savings Plan</t>
  </si>
  <si>
    <t xml:space="preserve">How long until you have the full amount saved, based on what you put away each month.</t>
  </si>
  <si>
    <t xml:space="preserve">Before you rely on these numbers</t>
  </si>
  <si>
    <t xml:space="preserve">This planner gives you a solid estimate, not a mortgage approval. Rates, lender rules and tax rebates change, and every lender qualifies you slightly differently. Confirm the real figures with a mortgage broker and a real estate lawyer before you make an offer.</t>
  </si>
  <si>
    <t xml:space="preserve">Want the refined version?</t>
  </si>
  <si>
    <t xml:space="preserve">Send this to Mo and he will run your actual numbers against current lender rates and tell you what you can realistically buy in your target neighbourhood. mo@morealtyteam.com  ·  416-886-6306</t>
  </si>
  <si>
    <t xml:space="preserve">LEGEND</t>
  </si>
  <si>
    <t xml:space="preserve">Yellow fill + blue text  =  type your own number here</t>
  </si>
  <si>
    <t xml:space="preserve">Black text  =  calculated for you, please don't overwrite</t>
  </si>
  <si>
    <t xml:space="preserve">What Can I Afford?</t>
  </si>
  <si>
    <t xml:space="preserve">Lender stress-test math. Yellow cells are yours to change.</t>
  </si>
  <si>
    <t xml:space="preserve">YOUR NUMBERS</t>
  </si>
  <si>
    <t xml:space="preserve">Gross household income (per year)</t>
  </si>
  <si>
    <t xml:space="preserve">Everyone on the mortgage, before tax.</t>
  </si>
  <si>
    <t xml:space="preserve">Monthly debt payments</t>
  </si>
  <si>
    <t xml:space="preserve">Car loans, credit cards, student loans, lines of credit.</t>
  </si>
  <si>
    <t xml:space="preserve">Down payment saved</t>
  </si>
  <si>
    <t xml:space="preserve">Mortgage rate</t>
  </si>
  <si>
    <t xml:space="preserve">Update from ratehub.ca — rates move constantly.</t>
  </si>
  <si>
    <t xml:space="preserve">Amortization (years)</t>
  </si>
  <si>
    <t xml:space="preserve">25 is standard. 30 is allowed on some purchases.</t>
  </si>
  <si>
    <t xml:space="preserve">Estimated property tax (per year)</t>
  </si>
  <si>
    <t xml:space="preserve">Estimated heating (per month)</t>
  </si>
  <si>
    <t xml:space="preserve">Condo fees (per month, 0 if none)</t>
  </si>
  <si>
    <t xml:space="preserve">Stress-test rate</t>
  </si>
  <si>
    <t xml:space="preserve">Federal rule: you must qualify at your rate + 2%, or 5.25%, whichever is higher.</t>
  </si>
  <si>
    <t xml:space="preserve">WHAT LENDERS ALLOW</t>
  </si>
  <si>
    <t xml:space="preserve">Max monthly housing cost (GDS 39%)</t>
  </si>
  <si>
    <t xml:space="preserve">Housing alone cannot exceed 39% of gross monthly income.</t>
  </si>
  <si>
    <t xml:space="preserve">Max housing cost after debts (TDS 44%)</t>
  </si>
  <si>
    <t xml:space="preserve">Housing + all other debts cannot exceed 44%.</t>
  </si>
  <si>
    <t xml:space="preserve">Your binding limit</t>
  </si>
  <si>
    <t xml:space="preserve">The lower of the two above.</t>
  </si>
  <si>
    <t xml:space="preserve">Left for mortgage payment</t>
  </si>
  <si>
    <t xml:space="preserve">After property tax, heat, and half your condo fees.</t>
  </si>
  <si>
    <t xml:space="preserve">YOUR RESULT</t>
  </si>
  <si>
    <t xml:space="preserve">Maximum mortgage</t>
  </si>
  <si>
    <t xml:space="preserve">Present value of the payment you can support, at the stress-test rate.</t>
  </si>
  <si>
    <t xml:space="preserve">Maximum purchase price</t>
  </si>
  <si>
    <t xml:space="preserve">Mortgage + your down payment. Rough guide, not an approval.</t>
  </si>
  <si>
    <t xml:space="preserve">Your down payment as % of price</t>
  </si>
  <si>
    <t xml:space="preserve">Minimum down payment required</t>
  </si>
  <si>
    <t xml:space="preserve">5% to $500K; 10% on the portion $500K–$1.5M; 20% over $1.5M.</t>
  </si>
  <si>
    <t xml:space="preserve">CMHC insurance premium</t>
  </si>
  <si>
    <t xml:space="preserve">Required under 20% down. Added to the mortgage, not paid in cash.</t>
  </si>
  <si>
    <t xml:space="preserve">Actual monthly payment at your real rate</t>
  </si>
  <si>
    <t xml:space="preserve">At your rate in B9, not the stress-test rate.</t>
  </si>
  <si>
    <t xml:space="preserve">Estimates only. Lenders differ, and rates and rules change. Confirm with a mortgage broker before making an offer.</t>
  </si>
  <si>
    <t xml:space="preserve">Closing Costs</t>
  </si>
  <si>
    <t xml:space="preserve">Cash you need on closing day, on top of your down payment.</t>
  </si>
  <si>
    <t xml:space="preserve">THE PURCHASE</t>
  </si>
  <si>
    <t xml:space="preserve">Purchase price</t>
  </si>
  <si>
    <t xml:space="preserve">Defaults to a typical GTA price. Change it to your target.</t>
  </si>
  <si>
    <t xml:space="preserve">Buying inside Toronto? (1 = yes, 0 = no)</t>
  </si>
  <si>
    <t xml:space="preserve">Toronto charges a SECOND land transfer tax. 905 areas do not.</t>
  </si>
  <si>
    <t xml:space="preserve">First-time buyer? (1 = yes, 0 = no)</t>
  </si>
  <si>
    <t xml:space="preserve">LAND TRANSFER TAX</t>
  </si>
  <si>
    <t xml:space="preserve">Ontario land transfer tax</t>
  </si>
  <si>
    <t xml:space="preserve">0.5% / 1% / 1.5% / 2% / 2.5% brackets.</t>
  </si>
  <si>
    <t xml:space="preserve">Less: Ontario first-time buyer rebate</t>
  </si>
  <si>
    <t xml:space="preserve">Up to $4,000.</t>
  </si>
  <si>
    <t xml:space="preserve">Toronto municipal land transfer tax</t>
  </si>
  <si>
    <t xml:space="preserve">Only if inside Toronto. Homes over $3M have higher tiers — verify with your lawyer.</t>
  </si>
  <si>
    <t xml:space="preserve">Less: Toronto first-time buyer rebate</t>
  </si>
  <si>
    <t xml:space="preserve">Up to $4,475.</t>
  </si>
  <si>
    <t xml:space="preserve">Total land transfer tax</t>
  </si>
  <si>
    <t xml:space="preserve">OTHER CLOSING COSTS</t>
  </si>
  <si>
    <t xml:space="preserve">Lawyer fees and disbursements</t>
  </si>
  <si>
    <t xml:space="preserve">Typical range $1,800–$3,000.</t>
  </si>
  <si>
    <t xml:space="preserve">Home inspection</t>
  </si>
  <si>
    <t xml:space="preserve">Skip at your peril on a freehold.</t>
  </si>
  <si>
    <t xml:space="preserve">Title insurance</t>
  </si>
  <si>
    <t xml:space="preserve">Usually arranged by your lawyer.</t>
  </si>
  <si>
    <t xml:space="preserve">Appraisal (if lender requires)</t>
  </si>
  <si>
    <t xml:space="preserve">Property tax / utility adjustments</t>
  </si>
  <si>
    <t xml:space="preserve">Reimbursing the seller for what they prepaid.</t>
  </si>
  <si>
    <t xml:space="preserve">Moving costs</t>
  </si>
  <si>
    <t xml:space="preserve">HST on CMHC premium (8%)</t>
  </si>
  <si>
    <t xml:space="preserve">Only if you put less than 20% down. Paid in cash.</t>
  </si>
  <si>
    <t xml:space="preserve">Total other costs</t>
  </si>
  <si>
    <t xml:space="preserve">CASH YOU NEED ON CLOSING DAY</t>
  </si>
  <si>
    <t xml:space="preserve">Down payment</t>
  </si>
  <si>
    <t xml:space="preserve">Copy from sheet 1, or enter your own.</t>
  </si>
  <si>
    <t xml:space="preserve">TOTAL CASH REQUIRED</t>
  </si>
  <si>
    <t xml:space="preserve">Closing costs as % of price</t>
  </si>
  <si>
    <t xml:space="preserve">Land transfer tax brackets verified Aug 2026. Toronto added higher tiers above $3M in April 2026 — for luxury purchases confirm with your lawyer or TRREB's official LTT calculator.</t>
  </si>
  <si>
    <t xml:space="preserve">Monthly Cost of Owning</t>
  </si>
  <si>
    <t xml:space="preserve">What it really costs once you have the keys.</t>
  </si>
  <si>
    <t xml:space="preserve">Worked example for the $850,000 purchase in sheet 2 — replace with your own.</t>
  </si>
  <si>
    <t xml:space="preserve">HOUSING</t>
  </si>
  <si>
    <t xml:space="preserve">Mortgage payment</t>
  </si>
  <si>
    <t xml:space="preserve">From sheet 1, or your lender's quote.</t>
  </si>
  <si>
    <t xml:space="preserve">Property tax</t>
  </si>
  <si>
    <t xml:space="preserve">Annual bill divided by 12.</t>
  </si>
  <si>
    <t xml:space="preserve">Condo / maintenance fees</t>
  </si>
  <si>
    <t xml:space="preserve">Home insurance</t>
  </si>
  <si>
    <t xml:space="preserve">Hydro</t>
  </si>
  <si>
    <t xml:space="preserve">Gas / heating</t>
  </si>
  <si>
    <t xml:space="preserve">Water</t>
  </si>
  <si>
    <t xml:space="preserve">Internet</t>
  </si>
  <si>
    <t xml:space="preserve">Maintenance reserve</t>
  </si>
  <si>
    <t xml:space="preserve">Rule of thumb: 1% of the purchase price per year. The cost people forget.</t>
  </si>
  <si>
    <t xml:space="preserve">Total housing</t>
  </si>
  <si>
    <t xml:space="preserve">LIVING</t>
  </si>
  <si>
    <t xml:space="preserve">Groceries</t>
  </si>
  <si>
    <t xml:space="preserve">Transportation / car</t>
  </si>
  <si>
    <t xml:space="preserve">Phone</t>
  </si>
  <si>
    <t xml:space="preserve">Childcare</t>
  </si>
  <si>
    <t xml:space="preserve">Debt payments</t>
  </si>
  <si>
    <t xml:space="preserve">Savings &amp; investments</t>
  </si>
  <si>
    <t xml:space="preserve">Everything else</t>
  </si>
  <si>
    <t xml:space="preserve">Total living</t>
  </si>
  <si>
    <t xml:space="preserve">THE BOTTOM LINE</t>
  </si>
  <si>
    <t xml:space="preserve">Monthly take-home pay (after tax)</t>
  </si>
  <si>
    <t xml:space="preserve">Total monthly spending</t>
  </si>
  <si>
    <t xml:space="preserve">Left over each month</t>
  </si>
  <si>
    <t xml:space="preserve">Housing as % of take-home</t>
  </si>
  <si>
    <t xml:space="preserve">Comfortable is under 35%. Over 45% and things get tight.</t>
  </si>
  <si>
    <t xml:space="preserve">Savings Plan</t>
  </si>
  <si>
    <t xml:space="preserve">How long until you can buy.</t>
  </si>
  <si>
    <t xml:space="preserve">THE GOAL</t>
  </si>
  <si>
    <t xml:space="preserve">Cash needed to close</t>
  </si>
  <si>
    <t xml:space="preserve">Pulled from sheet 2.</t>
  </si>
  <si>
    <t xml:space="preserve">Saved so far</t>
  </si>
  <si>
    <t xml:space="preserve">Saving per month</t>
  </si>
  <si>
    <t xml:space="preserve">Return on savings (per year)</t>
  </si>
  <si>
    <t xml:space="preserve">A high-interest savings account or GIC.</t>
  </si>
  <si>
    <t xml:space="preserve">Still to save</t>
  </si>
  <si>
    <t xml:space="preserve">HOW LONG</t>
  </si>
  <si>
    <t xml:space="preserve">Months to reach the goal</t>
  </si>
  <si>
    <t xml:space="preserve">That is roughly</t>
  </si>
  <si>
    <t xml:space="preserve">IF YOU SAVED MORE</t>
  </si>
  <si>
    <t xml:space="preserve">Monthly saving</t>
  </si>
  <si>
    <t xml:space="preserve">Months to goal</t>
  </si>
  <si>
    <t xml:space="preserve">Years to goal</t>
  </si>
  <si>
    <t xml:space="preserve">Ready to put real numbers behind this? Mo will run your actual scenario against current lender rates — mo@morealtyteam.com · 416-886-6306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</si>
</sst>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;&quot;($&quot;#,##0\);\-"/>
    <numFmt numFmtId="166" formatCode="0.00%"/>
    <numFmt numFmtId="167" formatCode="0"/>
    <numFmt numFmtId="168" formatCode="\$#,##0;&quot;($&quot;#,##0\);\-"/>
    <numFmt numFmtId="169" formatCode="0.0"/>
    <numFmt numFmtId="170" formatCode="0.0&quot; years&quot;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C89A5B"/>
      <name val="Arial"/>
      <family val="0"/>
      <charset val="1"/>
    </font>
    <font>
      <b val="true"/>
      <sz val="16"/>
      <color rgb="FF1E4344"/>
      <name val="Arial"/>
      <family val="0"/>
      <charset val="1"/>
    </font>
    <font>
      <i val="true"/>
      <sz val="9"/>
      <color rgb="FF6B6B6B"/>
      <name val="Arial"/>
      <family val="0"/>
      <charset val="1"/>
    </font>
    <font>
      <sz val="10"/>
      <color rgb="FF4A4A4A"/>
      <name val="Arial"/>
      <family val="0"/>
      <charset val="1"/>
    </font>
    <font>
      <b val="true"/>
      <sz val="12"/>
      <color rgb="FF1E4344"/>
      <name val="Arial"/>
      <family val="0"/>
      <charset val="1"/>
    </font>
    <font>
      <b val="true"/>
      <sz val="10"/>
      <color rgb="FFC89A5B"/>
      <name val="Arial"/>
      <family val="0"/>
      <charset val="1"/>
    </font>
    <font>
      <b val="true"/>
      <sz val="9"/>
      <color rgb="FF1E4344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2C2C2C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0"/>
      <color rgb="FF2C2C2C"/>
      <name val="Arial"/>
      <family val="0"/>
      <charset val="1"/>
    </font>
    <font>
      <i val="true"/>
      <sz val="9"/>
      <color rgb="FF777777"/>
      <name val="Arial"/>
      <family val="0"/>
      <charset val="1"/>
    </font>
    <font>
      <sz val="10"/>
      <name val="Arial"/>
      <family val="2"/>
    </font>
    <font>
      <b val="true"/>
      <sz val="10"/>
      <color rgb="FFFFFFFF"/>
      <name val="Arial"/>
      <family val="0"/>
      <charset val="1"/>
    </font>
    <font>
      <b val="true"/>
      <sz val="10"/>
      <color rgb="FF1E4344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AF8F4"/>
        <bgColor rgb="FFFFFFFF"/>
      </patternFill>
    </fill>
    <fill>
      <patternFill patternType="solid">
        <fgColor rgb="FFFFF6D6"/>
        <bgColor rgb="FFFAF8F4"/>
      </patternFill>
    </fill>
    <fill>
      <patternFill patternType="solid">
        <fgColor rgb="FF1E4344"/>
        <bgColor rgb="FF2C2C2C"/>
      </patternFill>
    </fill>
    <fill>
      <patternFill patternType="solid">
        <fgColor rgb="FFF3E6D2"/>
        <bgColor rgb="FFFFF6D6"/>
      </patternFill>
    </fill>
    <fill>
      <patternFill patternType="solid">
        <fgColor rgb="FFC89A5B"/>
        <bgColor rgb="FFFF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2C6"/>
      </left>
      <right style="thin">
        <color rgb="FFD8D2C6"/>
      </right>
      <top style="thin">
        <color rgb="FFD8D2C6"/>
      </top>
      <bottom style="thin">
        <color rgb="FFD8D2C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1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D2C6"/>
      <rgbColor rgb="FF777777"/>
      <rgbColor rgb="FF9999FF"/>
      <rgbColor rgb="FF993366"/>
      <rgbColor rgb="FFFFF6D6"/>
      <rgbColor rgb="FFFAF8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3E6D2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C89A5B"/>
      <rgbColor rgb="FF1E4344"/>
      <rgbColor rgb="FF339966"/>
      <rgbColor rgb="FF003300"/>
      <rgbColor rgb="FF4A4A4A"/>
      <rgbColor rgb="FF993300"/>
      <rgbColor rgb="FF993366"/>
      <rgbColor rgb="FF333399"/>
      <rgbColor rgb="FF2C2C2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96"/>
  </cols>
  <sheetData>
    <row r="1" customFormat="false" ht="15" hidden="false" customHeight="true" outlineLevel="0" collapsed="false">
      <c r="A1" s="2" t="s">
        <v>0</v>
      </c>
      <c r="B1" s="2"/>
      <c r="C1" s="2"/>
    </row>
    <row r="2" customFormat="false" ht="21.75" hidden="false" customHeight="true" outlineLevel="0" collapsed="false">
      <c r="A2" s="3" t="s">
        <v>1</v>
      </c>
      <c r="B2" s="3"/>
      <c r="C2" s="3"/>
    </row>
    <row r="3" customFormat="false" ht="15" hidden="false" customHeight="true" outlineLevel="0" collapsed="false">
      <c r="A3" s="4" t="s">
        <v>2</v>
      </c>
      <c r="B3" s="4"/>
      <c r="C3" s="4"/>
    </row>
    <row r="5" customFormat="false" ht="31.5" hidden="false" customHeight="true" outlineLevel="0" collapsed="false">
      <c r="B5" s="5"/>
    </row>
    <row r="6" customFormat="false" ht="15" hidden="false" customHeight="true" outlineLevel="0" collapsed="false">
      <c r="B6" s="6" t="s">
        <v>3</v>
      </c>
    </row>
    <row r="7" customFormat="false" ht="31.5" hidden="false" customHeight="true" outlineLevel="0" collapsed="false">
      <c r="B7" s="5" t="s">
        <v>4</v>
      </c>
    </row>
    <row r="8" customFormat="false" ht="31.5" hidden="false" customHeight="true" outlineLevel="0" collapsed="false">
      <c r="B8" s="5"/>
    </row>
    <row r="9" customFormat="false" ht="15" hidden="false" customHeight="true" outlineLevel="0" collapsed="false">
      <c r="B9" s="7" t="s">
        <v>5</v>
      </c>
    </row>
    <row r="10" customFormat="false" ht="31.5" hidden="false" customHeight="true" outlineLevel="0" collapsed="false">
      <c r="B10" s="5" t="s">
        <v>6</v>
      </c>
    </row>
    <row r="11" customFormat="false" ht="15" hidden="false" customHeight="true" outlineLevel="0" collapsed="false">
      <c r="B11" s="7" t="s">
        <v>7</v>
      </c>
    </row>
    <row r="12" customFormat="false" ht="31.5" hidden="false" customHeight="true" outlineLevel="0" collapsed="false">
      <c r="B12" s="5" t="s">
        <v>8</v>
      </c>
    </row>
    <row r="13" customFormat="false" ht="15" hidden="false" customHeight="true" outlineLevel="0" collapsed="false">
      <c r="B13" s="7" t="s">
        <v>9</v>
      </c>
    </row>
    <row r="14" customFormat="false" ht="31.5" hidden="false" customHeight="true" outlineLevel="0" collapsed="false">
      <c r="B14" s="5" t="s">
        <v>10</v>
      </c>
    </row>
    <row r="15" customFormat="false" ht="15" hidden="false" customHeight="true" outlineLevel="0" collapsed="false">
      <c r="B15" s="7" t="s">
        <v>11</v>
      </c>
    </row>
    <row r="16" customFormat="false" ht="31.5" hidden="false" customHeight="true" outlineLevel="0" collapsed="false">
      <c r="B16" s="5" t="s">
        <v>12</v>
      </c>
    </row>
    <row r="17" customFormat="false" ht="31.5" hidden="false" customHeight="true" outlineLevel="0" collapsed="false">
      <c r="B17" s="5"/>
    </row>
    <row r="18" customFormat="false" ht="15" hidden="false" customHeight="true" outlineLevel="0" collapsed="false">
      <c r="B18" s="6" t="s">
        <v>13</v>
      </c>
    </row>
    <row r="19" customFormat="false" ht="31.5" hidden="false" customHeight="true" outlineLevel="0" collapsed="false">
      <c r="B19" s="5" t="s">
        <v>14</v>
      </c>
    </row>
    <row r="20" customFormat="false" ht="31.5" hidden="false" customHeight="true" outlineLevel="0" collapsed="false">
      <c r="B20" s="5"/>
    </row>
    <row r="21" customFormat="false" ht="15" hidden="false" customHeight="true" outlineLevel="0" collapsed="false">
      <c r="B21" s="6" t="s">
        <v>15</v>
      </c>
    </row>
    <row r="22" customFormat="false" ht="31.5" hidden="false" customHeight="true" outlineLevel="0" collapsed="false">
      <c r="B22" s="5" t="s">
        <v>16</v>
      </c>
    </row>
    <row r="24" customFormat="false" ht="15" hidden="false" customHeight="true" outlineLevel="0" collapsed="false">
      <c r="B24" s="8" t="s">
        <v>17</v>
      </c>
    </row>
    <row r="25" customFormat="false" ht="15" hidden="false" customHeight="true" outlineLevel="0" collapsed="false">
      <c r="B25" s="9" t="s">
        <v>18</v>
      </c>
    </row>
    <row r="26" customFormat="false" ht="15" hidden="false" customHeight="true" outlineLevel="0" collapsed="false">
      <c r="B26" s="10" t="s">
        <v>19</v>
      </c>
    </row>
  </sheetData>
  <mergeCells count="3">
    <mergeCell ref="A1:C1"/>
    <mergeCell ref="A2:C2"/>
    <mergeCell ref="A3:C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2"/>
    <col collapsed="false" customWidth="true" hidden="false" outlineLevel="0" max="3" min="2" style="1" width="17"/>
    <col collapsed="false" customWidth="true" hidden="false" outlineLevel="0" max="4" min="4" style="1" width="52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21.75" hidden="false" customHeight="true" outlineLevel="0" collapsed="false">
      <c r="A2" s="3" t="s">
        <v>20</v>
      </c>
      <c r="B2" s="3"/>
      <c r="C2" s="3"/>
      <c r="D2" s="3"/>
    </row>
    <row r="3" customFormat="false" ht="15" hidden="false" customHeight="true" outlineLevel="0" collapsed="false">
      <c r="A3" s="4" t="s">
        <v>21</v>
      </c>
      <c r="B3" s="4"/>
      <c r="C3" s="4"/>
      <c r="D3" s="4"/>
    </row>
    <row r="5" customFormat="false" ht="18" hidden="false" customHeight="true" outlineLevel="0" collapsed="false">
      <c r="A5" s="11" t="s">
        <v>22</v>
      </c>
      <c r="B5" s="11"/>
      <c r="C5" s="11"/>
      <c r="D5" s="11"/>
    </row>
    <row r="6" customFormat="false" ht="15" hidden="false" customHeight="true" outlineLevel="0" collapsed="false">
      <c r="A6" s="10" t="s">
        <v>23</v>
      </c>
      <c r="B6" s="12" t="n">
        <v>120000</v>
      </c>
      <c r="D6" s="13" t="s">
        <v>24</v>
      </c>
    </row>
    <row r="7" customFormat="false" ht="15" hidden="false" customHeight="true" outlineLevel="0" collapsed="false">
      <c r="A7" s="10" t="s">
        <v>25</v>
      </c>
      <c r="B7" s="12" t="n">
        <v>600</v>
      </c>
      <c r="D7" s="13" t="s">
        <v>26</v>
      </c>
    </row>
    <row r="8" customFormat="false" ht="15" hidden="false" customHeight="true" outlineLevel="0" collapsed="false">
      <c r="A8" s="10" t="s">
        <v>27</v>
      </c>
      <c r="B8" s="12" t="n">
        <v>100000</v>
      </c>
    </row>
    <row r="9" customFormat="false" ht="15" hidden="false" customHeight="true" outlineLevel="0" collapsed="false">
      <c r="A9" s="10" t="s">
        <v>28</v>
      </c>
      <c r="B9" s="14" t="n">
        <v>0.0399</v>
      </c>
      <c r="D9" s="13" t="s">
        <v>29</v>
      </c>
    </row>
    <row r="10" customFormat="false" ht="15" hidden="false" customHeight="true" outlineLevel="0" collapsed="false">
      <c r="A10" s="10" t="s">
        <v>30</v>
      </c>
      <c r="B10" s="15" t="n">
        <v>25</v>
      </c>
      <c r="D10" s="13" t="s">
        <v>31</v>
      </c>
    </row>
    <row r="11" customFormat="false" ht="15" hidden="false" customHeight="true" outlineLevel="0" collapsed="false">
      <c r="A11" s="10" t="s">
        <v>32</v>
      </c>
      <c r="B11" s="12" t="n">
        <v>4500</v>
      </c>
    </row>
    <row r="12" customFormat="false" ht="15" hidden="false" customHeight="true" outlineLevel="0" collapsed="false">
      <c r="A12" s="10" t="s">
        <v>33</v>
      </c>
      <c r="B12" s="12" t="n">
        <v>150</v>
      </c>
    </row>
    <row r="13" customFormat="false" ht="15" hidden="false" customHeight="true" outlineLevel="0" collapsed="false">
      <c r="A13" s="10" t="s">
        <v>34</v>
      </c>
      <c r="B13" s="12" t="n">
        <v>0</v>
      </c>
    </row>
    <row r="14" customFormat="false" ht="15" hidden="false" customHeight="true" outlineLevel="0" collapsed="false">
      <c r="A14" s="10" t="s">
        <v>35</v>
      </c>
      <c r="B14" s="16" t="n">
        <f aca="false">MAX(B9+0.02,0.0525)</f>
        <v>0.0599</v>
      </c>
      <c r="D14" s="13" t="s">
        <v>36</v>
      </c>
    </row>
    <row r="15" customFormat="false" ht="18" hidden="false" customHeight="true" outlineLevel="0" collapsed="false">
      <c r="A15" s="11" t="s">
        <v>37</v>
      </c>
      <c r="B15" s="11"/>
      <c r="C15" s="11"/>
      <c r="D15" s="11"/>
    </row>
    <row r="16" customFormat="false" ht="15" hidden="false" customHeight="true" outlineLevel="0" collapsed="false">
      <c r="A16" s="10" t="s">
        <v>38</v>
      </c>
      <c r="B16" s="17" t="n">
        <f aca="false">B6/12*0.39</f>
        <v>3900</v>
      </c>
      <c r="D16" s="13" t="s">
        <v>39</v>
      </c>
    </row>
    <row r="17" customFormat="false" ht="15" hidden="false" customHeight="true" outlineLevel="0" collapsed="false">
      <c r="A17" s="10" t="s">
        <v>40</v>
      </c>
      <c r="B17" s="17" t="n">
        <f aca="false">B6/12*0.44-B7</f>
        <v>3800</v>
      </c>
      <c r="D17" s="13" t="s">
        <v>41</v>
      </c>
    </row>
    <row r="18" customFormat="false" ht="15" hidden="false" customHeight="true" outlineLevel="0" collapsed="false">
      <c r="A18" s="18" t="s">
        <v>42</v>
      </c>
      <c r="B18" s="19" t="n">
        <f aca="false">MIN(B16,B17)</f>
        <v>3800</v>
      </c>
      <c r="D18" s="13" t="s">
        <v>43</v>
      </c>
    </row>
    <row r="19" customFormat="false" ht="15" hidden="false" customHeight="true" outlineLevel="0" collapsed="false">
      <c r="A19" s="10" t="s">
        <v>44</v>
      </c>
      <c r="B19" s="17" t="n">
        <f aca="false">MAX(B18-B11/12-B12-B13*0.5,0)</f>
        <v>3275</v>
      </c>
      <c r="D19" s="13" t="s">
        <v>45</v>
      </c>
    </row>
    <row r="20" customFormat="false" ht="18" hidden="false" customHeight="true" outlineLevel="0" collapsed="false">
      <c r="A20" s="11" t="s">
        <v>46</v>
      </c>
      <c r="B20" s="11"/>
      <c r="C20" s="11"/>
      <c r="D20" s="11"/>
    </row>
    <row r="21" customFormat="false" ht="15" hidden="false" customHeight="true" outlineLevel="0" collapsed="false">
      <c r="A21" s="18" t="s">
        <v>47</v>
      </c>
      <c r="B21" s="19" t="n">
        <f aca="false">IF(B14=0,B19*B10*12,B19*(1-(1+B14/12)^(-B10*12))/(B14/12))</f>
        <v>508785.079778679</v>
      </c>
      <c r="D21" s="13" t="s">
        <v>48</v>
      </c>
    </row>
    <row r="22" customFormat="false" ht="15" hidden="false" customHeight="true" outlineLevel="0" collapsed="false">
      <c r="A22" s="18" t="s">
        <v>49</v>
      </c>
      <c r="B22" s="20" t="n">
        <f aca="false">B21+B8</f>
        <v>608785.079778679</v>
      </c>
      <c r="D22" s="13" t="s">
        <v>50</v>
      </c>
    </row>
    <row r="23" customFormat="false" ht="15" hidden="false" customHeight="true" outlineLevel="0" collapsed="false">
      <c r="A23" s="10" t="s">
        <v>51</v>
      </c>
      <c r="B23" s="21" t="n">
        <f aca="false">IF(B22=0,0,B8/B22)</f>
        <v>0.164261581503204</v>
      </c>
    </row>
    <row r="24" customFormat="false" ht="15" hidden="false" customHeight="true" outlineLevel="0" collapsed="false">
      <c r="A24" s="10" t="s">
        <v>52</v>
      </c>
      <c r="B24" s="17" t="n">
        <f aca="false">IF(B22&lt;=500000,B22*0.05,IF(B22&lt;=1500000,25000+(B22-500000)*0.1,B22*0.2))</f>
        <v>35878.5079778679</v>
      </c>
      <c r="D24" s="13" t="s">
        <v>53</v>
      </c>
    </row>
    <row r="25" customFormat="false" ht="15" hidden="false" customHeight="true" outlineLevel="0" collapsed="false">
      <c r="A25" s="10" t="s">
        <v>54</v>
      </c>
      <c r="B25" s="17" t="n">
        <f aca="false">IF(B23&gt;=0.2,0,B21*IF(B23&gt;=0.15,0.028,IF(B23&gt;=0.1,0.031,0.04)))</f>
        <v>14245.982233803</v>
      </c>
      <c r="D25" s="13" t="s">
        <v>55</v>
      </c>
    </row>
    <row r="26" customFormat="false" ht="15" hidden="false" customHeight="true" outlineLevel="0" collapsed="false">
      <c r="A26" s="18" t="s">
        <v>56</v>
      </c>
      <c r="B26" s="19" t="n">
        <f aca="false">IF(B9=0,(B21+B25)/(B10*12),(B21+B25)*(B9/12)/(1-(1+B9/12)^(-B10*12)))</f>
        <v>2757.86351142714</v>
      </c>
      <c r="D26" s="13" t="s">
        <v>57</v>
      </c>
    </row>
    <row r="28" customFormat="false" ht="15" hidden="false" customHeight="true" outlineLevel="0" collapsed="false">
      <c r="A28" s="22" t="s">
        <v>58</v>
      </c>
      <c r="B28" s="22"/>
      <c r="C28" s="22"/>
      <c r="D28" s="22"/>
    </row>
  </sheetData>
  <mergeCells count="7">
    <mergeCell ref="A1:D1"/>
    <mergeCell ref="A2:D2"/>
    <mergeCell ref="A3:D3"/>
    <mergeCell ref="A5:D5"/>
    <mergeCell ref="A15:D15"/>
    <mergeCell ref="A20:D20"/>
    <mergeCell ref="A28:D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2"/>
    <col collapsed="false" customWidth="true" hidden="false" outlineLevel="0" max="3" min="2" style="1" width="17"/>
    <col collapsed="false" customWidth="true" hidden="false" outlineLevel="0" max="4" min="4" style="1" width="52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21.75" hidden="false" customHeight="true" outlineLevel="0" collapsed="false">
      <c r="A2" s="3" t="s">
        <v>59</v>
      </c>
      <c r="B2" s="3"/>
      <c r="C2" s="3"/>
      <c r="D2" s="3"/>
    </row>
    <row r="3" customFormat="false" ht="15" hidden="false" customHeight="true" outlineLevel="0" collapsed="false">
      <c r="A3" s="4" t="s">
        <v>60</v>
      </c>
      <c r="B3" s="4"/>
      <c r="C3" s="4"/>
      <c r="D3" s="4"/>
    </row>
    <row r="5" customFormat="false" ht="18" hidden="false" customHeight="true" outlineLevel="0" collapsed="false">
      <c r="A5" s="11" t="s">
        <v>61</v>
      </c>
      <c r="B5" s="11"/>
      <c r="C5" s="11"/>
      <c r="D5" s="11"/>
    </row>
    <row r="6" customFormat="false" ht="15" hidden="false" customHeight="true" outlineLevel="0" collapsed="false">
      <c r="A6" s="10" t="s">
        <v>62</v>
      </c>
      <c r="B6" s="12" t="n">
        <v>850000</v>
      </c>
      <c r="D6" s="13" t="s">
        <v>63</v>
      </c>
    </row>
    <row r="7" customFormat="false" ht="15" hidden="false" customHeight="true" outlineLevel="0" collapsed="false">
      <c r="A7" s="10" t="s">
        <v>64</v>
      </c>
      <c r="B7" s="15" t="n">
        <v>1</v>
      </c>
      <c r="D7" s="13" t="s">
        <v>65</v>
      </c>
    </row>
    <row r="8" customFormat="false" ht="15" hidden="false" customHeight="true" outlineLevel="0" collapsed="false">
      <c r="A8" s="10" t="s">
        <v>66</v>
      </c>
      <c r="B8" s="15" t="n">
        <v>1</v>
      </c>
    </row>
    <row r="9" customFormat="false" ht="18" hidden="false" customHeight="true" outlineLevel="0" collapsed="false">
      <c r="A9" s="11" t="s">
        <v>67</v>
      </c>
      <c r="B9" s="11"/>
      <c r="C9" s="11"/>
      <c r="D9" s="11"/>
    </row>
    <row r="10" customFormat="false" ht="15" hidden="false" customHeight="true" outlineLevel="0" collapsed="false">
      <c r="A10" s="10" t="s">
        <v>68</v>
      </c>
      <c r="B10" s="17" t="n">
        <f aca="false">MIN(B6,55000)*0.005+MAX(MIN(B6,250000)-55000,0)*0.01+MAX(MIN(B6,400000)-250000,0)*0.015+MAX(MIN(B6,2000000)-400000,0)*0.02+MAX(B6-2000000,0)*0.025</f>
        <v>13475</v>
      </c>
      <c r="D10" s="13" t="s">
        <v>69</v>
      </c>
    </row>
    <row r="11" customFormat="false" ht="15" hidden="false" customHeight="true" outlineLevel="0" collapsed="false">
      <c r="A11" s="10" t="s">
        <v>70</v>
      </c>
      <c r="B11" s="17" t="n">
        <f aca="false">-MIN(B10,4000)*B8</f>
        <v>-4000</v>
      </c>
      <c r="D11" s="13" t="s">
        <v>71</v>
      </c>
    </row>
    <row r="12" customFormat="false" ht="15" hidden="false" customHeight="true" outlineLevel="0" collapsed="false">
      <c r="A12" s="10" t="s">
        <v>72</v>
      </c>
      <c r="B12" s="17" t="n">
        <f aca="false">B7*(MIN(B6,55000)*0.005+MAX(MIN(B6,250000)-55000,0)*0.01+MAX(MIN(B6,400000)-250000,0)*0.015+MAX(MIN(B6,2000000)-400000,0)*0.02+MAX(B6-2000000,0)*0.025)</f>
        <v>13475</v>
      </c>
      <c r="D12" s="13" t="s">
        <v>73</v>
      </c>
    </row>
    <row r="13" customFormat="false" ht="15" hidden="false" customHeight="true" outlineLevel="0" collapsed="false">
      <c r="A13" s="10" t="s">
        <v>74</v>
      </c>
      <c r="B13" s="17" t="n">
        <f aca="false">-MIN(B12,4475)*B8*B7</f>
        <v>-4475</v>
      </c>
      <c r="D13" s="13" t="s">
        <v>75</v>
      </c>
    </row>
    <row r="14" customFormat="false" ht="15" hidden="false" customHeight="true" outlineLevel="0" collapsed="false">
      <c r="A14" s="18" t="s">
        <v>76</v>
      </c>
      <c r="B14" s="19" t="n">
        <f aca="false">B10+B11+B12+B13</f>
        <v>18475</v>
      </c>
    </row>
    <row r="15" customFormat="false" ht="18" hidden="false" customHeight="true" outlineLevel="0" collapsed="false">
      <c r="A15" s="11" t="s">
        <v>77</v>
      </c>
      <c r="B15" s="11"/>
      <c r="C15" s="11"/>
      <c r="D15" s="11"/>
    </row>
    <row r="16" customFormat="false" ht="15" hidden="false" customHeight="true" outlineLevel="0" collapsed="false">
      <c r="A16" s="23" t="s">
        <v>78</v>
      </c>
      <c r="B16" s="12" t="n">
        <v>2500</v>
      </c>
      <c r="D16" s="13" t="s">
        <v>79</v>
      </c>
    </row>
    <row r="17" customFormat="false" ht="15" hidden="false" customHeight="true" outlineLevel="0" collapsed="false">
      <c r="A17" s="23" t="s">
        <v>80</v>
      </c>
      <c r="B17" s="12" t="n">
        <v>600</v>
      </c>
      <c r="D17" s="13" t="s">
        <v>81</v>
      </c>
    </row>
    <row r="18" customFormat="false" ht="15" hidden="false" customHeight="true" outlineLevel="0" collapsed="false">
      <c r="A18" s="23" t="s">
        <v>82</v>
      </c>
      <c r="B18" s="12" t="n">
        <v>400</v>
      </c>
      <c r="D18" s="13" t="s">
        <v>83</v>
      </c>
    </row>
    <row r="19" customFormat="false" ht="15" hidden="false" customHeight="true" outlineLevel="0" collapsed="false">
      <c r="A19" s="23" t="s">
        <v>84</v>
      </c>
      <c r="B19" s="12" t="n">
        <v>400</v>
      </c>
    </row>
    <row r="20" customFormat="false" ht="15" hidden="false" customHeight="true" outlineLevel="0" collapsed="false">
      <c r="A20" s="23" t="s">
        <v>85</v>
      </c>
      <c r="B20" s="12" t="n">
        <v>1200</v>
      </c>
      <c r="D20" s="13" t="s">
        <v>86</v>
      </c>
    </row>
    <row r="21" customFormat="false" ht="15" hidden="false" customHeight="true" outlineLevel="0" collapsed="false">
      <c r="A21" s="23" t="s">
        <v>87</v>
      </c>
      <c r="B21" s="12" t="n">
        <v>1500</v>
      </c>
    </row>
    <row r="22" customFormat="false" ht="15" hidden="false" customHeight="true" outlineLevel="0" collapsed="false">
      <c r="A22" s="23" t="s">
        <v>88</v>
      </c>
      <c r="B22" s="12" t="n">
        <v>0</v>
      </c>
      <c r="D22" s="13" t="s">
        <v>89</v>
      </c>
    </row>
    <row r="23" customFormat="false" ht="15" hidden="false" customHeight="true" outlineLevel="0" collapsed="false">
      <c r="A23" s="18" t="s">
        <v>90</v>
      </c>
      <c r="B23" s="19" t="n">
        <f aca="false">SUM(B16:B22)</f>
        <v>6600</v>
      </c>
    </row>
    <row r="24" customFormat="false" ht="18" hidden="false" customHeight="true" outlineLevel="0" collapsed="false">
      <c r="A24" s="11" t="s">
        <v>91</v>
      </c>
      <c r="B24" s="11"/>
      <c r="C24" s="11"/>
      <c r="D24" s="11"/>
    </row>
    <row r="25" customFormat="false" ht="15" hidden="false" customHeight="true" outlineLevel="0" collapsed="false">
      <c r="A25" s="10" t="s">
        <v>92</v>
      </c>
      <c r="B25" s="12" t="n">
        <v>170000</v>
      </c>
      <c r="D25" s="13" t="s">
        <v>93</v>
      </c>
    </row>
    <row r="26" customFormat="false" ht="15" hidden="false" customHeight="true" outlineLevel="0" collapsed="false">
      <c r="A26" s="18" t="s">
        <v>94</v>
      </c>
      <c r="B26" s="20" t="n">
        <f aca="false">B25+B14+B23</f>
        <v>195075</v>
      </c>
    </row>
    <row r="27" customFormat="false" ht="15" hidden="false" customHeight="true" outlineLevel="0" collapsed="false">
      <c r="A27" s="10" t="s">
        <v>95</v>
      </c>
      <c r="B27" s="21" t="n">
        <f aca="false">IF(B6=0,0,(B14+B23)/B6)</f>
        <v>0.0295</v>
      </c>
    </row>
    <row r="29" customFormat="false" ht="25.5" hidden="false" customHeight="true" outlineLevel="0" collapsed="false">
      <c r="A29" s="22" t="s">
        <v>96</v>
      </c>
      <c r="B29" s="22"/>
      <c r="C29" s="22"/>
      <c r="D29" s="22"/>
    </row>
  </sheetData>
  <mergeCells count="8">
    <mergeCell ref="A1:D1"/>
    <mergeCell ref="A2:D2"/>
    <mergeCell ref="A3:D3"/>
    <mergeCell ref="A5:D5"/>
    <mergeCell ref="A9:D9"/>
    <mergeCell ref="A15:D15"/>
    <mergeCell ref="A24:D24"/>
    <mergeCell ref="A29:D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2"/>
    <col collapsed="false" customWidth="true" hidden="false" outlineLevel="0" max="3" min="2" style="1" width="17"/>
    <col collapsed="false" customWidth="true" hidden="false" outlineLevel="0" max="4" min="4" style="1" width="52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21.75" hidden="false" customHeight="true" outlineLevel="0" collapsed="false">
      <c r="A2" s="3" t="s">
        <v>97</v>
      </c>
      <c r="B2" s="3"/>
      <c r="C2" s="3"/>
      <c r="D2" s="3"/>
    </row>
    <row r="3" customFormat="false" ht="15" hidden="false" customHeight="true" outlineLevel="0" collapsed="false">
      <c r="A3" s="4" t="s">
        <v>98</v>
      </c>
      <c r="B3" s="4"/>
      <c r="C3" s="4"/>
      <c r="D3" s="4"/>
    </row>
    <row r="4" customFormat="false" ht="15" hidden="false" customHeight="false" outlineLevel="0" collapsed="false">
      <c r="D4" s="24" t="s">
        <v>99</v>
      </c>
    </row>
    <row r="5" customFormat="false" ht="18" hidden="false" customHeight="true" outlineLevel="0" collapsed="false">
      <c r="A5" s="11" t="s">
        <v>100</v>
      </c>
      <c r="B5" s="11"/>
      <c r="C5" s="11"/>
      <c r="D5" s="11"/>
    </row>
    <row r="6" customFormat="false" ht="15" hidden="false" customHeight="true" outlineLevel="0" collapsed="false">
      <c r="A6" s="23" t="s">
        <v>101</v>
      </c>
      <c r="B6" s="25" t="n">
        <v>3580</v>
      </c>
      <c r="D6" s="13" t="s">
        <v>102</v>
      </c>
    </row>
    <row r="7" customFormat="false" ht="15" hidden="false" customHeight="true" outlineLevel="0" collapsed="false">
      <c r="A7" s="23" t="s">
        <v>103</v>
      </c>
      <c r="B7" s="12" t="n">
        <v>375</v>
      </c>
      <c r="D7" s="13" t="s">
        <v>104</v>
      </c>
    </row>
    <row r="8" customFormat="false" ht="15" hidden="false" customHeight="true" outlineLevel="0" collapsed="false">
      <c r="A8" s="23" t="s">
        <v>105</v>
      </c>
      <c r="B8" s="12" t="n">
        <v>0</v>
      </c>
    </row>
    <row r="9" customFormat="false" ht="15" hidden="false" customHeight="true" outlineLevel="0" collapsed="false">
      <c r="A9" s="23" t="s">
        <v>106</v>
      </c>
      <c r="B9" s="12" t="n">
        <v>120</v>
      </c>
    </row>
    <row r="10" customFormat="false" ht="15" hidden="false" customHeight="true" outlineLevel="0" collapsed="false">
      <c r="A10" s="23" t="s">
        <v>107</v>
      </c>
      <c r="B10" s="12" t="n">
        <v>110</v>
      </c>
    </row>
    <row r="11" customFormat="false" ht="15" hidden="false" customHeight="true" outlineLevel="0" collapsed="false">
      <c r="A11" s="23" t="s">
        <v>108</v>
      </c>
      <c r="B11" s="12" t="n">
        <v>95</v>
      </c>
    </row>
    <row r="12" customFormat="false" ht="15" hidden="false" customHeight="true" outlineLevel="0" collapsed="false">
      <c r="A12" s="23" t="s">
        <v>109</v>
      </c>
      <c r="B12" s="12" t="n">
        <v>50</v>
      </c>
    </row>
    <row r="13" customFormat="false" ht="15" hidden="false" customHeight="true" outlineLevel="0" collapsed="false">
      <c r="A13" s="23" t="s">
        <v>110</v>
      </c>
      <c r="B13" s="12" t="n">
        <v>85</v>
      </c>
    </row>
    <row r="14" customFormat="false" ht="15" hidden="false" customHeight="true" outlineLevel="0" collapsed="false">
      <c r="A14" s="23" t="s">
        <v>111</v>
      </c>
      <c r="B14" s="17" t="n">
        <f aca="false">'2. Closing Costs'!B6*0.01/12</f>
        <v>708.333333333333</v>
      </c>
      <c r="D14" s="13" t="s">
        <v>112</v>
      </c>
    </row>
    <row r="15" customFormat="false" ht="15" hidden="false" customHeight="true" outlineLevel="0" collapsed="false">
      <c r="A15" s="18" t="s">
        <v>113</v>
      </c>
      <c r="B15" s="19" t="n">
        <f aca="false">SUM(B6:B13)+B14</f>
        <v>5123.33333333333</v>
      </c>
    </row>
    <row r="16" customFormat="false" ht="18" hidden="false" customHeight="true" outlineLevel="0" collapsed="false">
      <c r="A16" s="11" t="s">
        <v>114</v>
      </c>
      <c r="B16" s="11"/>
      <c r="C16" s="11"/>
      <c r="D16" s="11"/>
    </row>
    <row r="17" customFormat="false" ht="15" hidden="false" customHeight="true" outlineLevel="0" collapsed="false">
      <c r="A17" s="23" t="s">
        <v>115</v>
      </c>
      <c r="B17" s="12" t="n">
        <v>900</v>
      </c>
    </row>
    <row r="18" customFormat="false" ht="15" hidden="false" customHeight="true" outlineLevel="0" collapsed="false">
      <c r="A18" s="23" t="s">
        <v>116</v>
      </c>
      <c r="B18" s="12" t="n">
        <v>600</v>
      </c>
    </row>
    <row r="19" customFormat="false" ht="15" hidden="false" customHeight="true" outlineLevel="0" collapsed="false">
      <c r="A19" s="23" t="s">
        <v>117</v>
      </c>
      <c r="B19" s="12" t="n">
        <v>90</v>
      </c>
    </row>
    <row r="20" customFormat="false" ht="15" hidden="false" customHeight="true" outlineLevel="0" collapsed="false">
      <c r="A20" s="23" t="s">
        <v>118</v>
      </c>
      <c r="B20" s="12" t="n">
        <v>0</v>
      </c>
    </row>
    <row r="21" customFormat="false" ht="15" hidden="false" customHeight="true" outlineLevel="0" collapsed="false">
      <c r="A21" s="23" t="s">
        <v>119</v>
      </c>
      <c r="B21" s="12" t="n">
        <v>600</v>
      </c>
    </row>
    <row r="22" customFormat="false" ht="15" hidden="false" customHeight="true" outlineLevel="0" collapsed="false">
      <c r="A22" s="23" t="s">
        <v>120</v>
      </c>
      <c r="B22" s="12" t="n">
        <v>500</v>
      </c>
    </row>
    <row r="23" customFormat="false" ht="15" hidden="false" customHeight="true" outlineLevel="0" collapsed="false">
      <c r="A23" s="23" t="s">
        <v>121</v>
      </c>
      <c r="B23" s="12" t="n">
        <v>700</v>
      </c>
    </row>
    <row r="24" customFormat="false" ht="15" hidden="false" customHeight="true" outlineLevel="0" collapsed="false">
      <c r="A24" s="18" t="s">
        <v>122</v>
      </c>
      <c r="B24" s="19" t="n">
        <f aca="false">SUM(B17:B23)</f>
        <v>3390</v>
      </c>
    </row>
    <row r="25" customFormat="false" ht="18" hidden="false" customHeight="true" outlineLevel="0" collapsed="false">
      <c r="A25" s="11" t="s">
        <v>123</v>
      </c>
      <c r="B25" s="11"/>
      <c r="C25" s="11"/>
      <c r="D25" s="11"/>
    </row>
    <row r="26" customFormat="false" ht="15" hidden="false" customHeight="true" outlineLevel="0" collapsed="false">
      <c r="A26" s="10" t="s">
        <v>124</v>
      </c>
      <c r="B26" s="25" t="n">
        <v>12000</v>
      </c>
    </row>
    <row r="27" customFormat="false" ht="15" hidden="false" customHeight="true" outlineLevel="0" collapsed="false">
      <c r="A27" s="10" t="s">
        <v>125</v>
      </c>
      <c r="B27" s="19" t="n">
        <f aca="false">B15+B24</f>
        <v>8513.33333333333</v>
      </c>
    </row>
    <row r="28" customFormat="false" ht="15" hidden="false" customHeight="true" outlineLevel="0" collapsed="false">
      <c r="A28" s="18" t="s">
        <v>126</v>
      </c>
      <c r="B28" s="20" t="n">
        <f aca="false">B26-B27</f>
        <v>3486.66666666667</v>
      </c>
    </row>
    <row r="29" customFormat="false" ht="15" hidden="false" customHeight="true" outlineLevel="0" collapsed="false">
      <c r="A29" s="10" t="s">
        <v>127</v>
      </c>
      <c r="B29" s="21" t="n">
        <f aca="false">IF(B26=0,0,B15/B26)</f>
        <v>0.426944444444444</v>
      </c>
      <c r="D29" s="13" t="s">
        <v>128</v>
      </c>
    </row>
  </sheetData>
  <mergeCells count="6">
    <mergeCell ref="A1:D1"/>
    <mergeCell ref="A2:D2"/>
    <mergeCell ref="A3:D3"/>
    <mergeCell ref="A5:D5"/>
    <mergeCell ref="A16:D16"/>
    <mergeCell ref="A25:D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2"/>
    <col collapsed="false" customWidth="true" hidden="false" outlineLevel="0" max="3" min="2" style="1" width="17"/>
    <col collapsed="false" customWidth="true" hidden="false" outlineLevel="0" max="4" min="4" style="1" width="52"/>
  </cols>
  <sheetData>
    <row r="1" customFormat="false" ht="15" hidden="false" customHeight="true" outlineLevel="0" collapsed="false">
      <c r="A1" s="2" t="s">
        <v>0</v>
      </c>
      <c r="B1" s="2"/>
      <c r="C1" s="2"/>
      <c r="D1" s="2"/>
    </row>
    <row r="2" customFormat="false" ht="21.75" hidden="false" customHeight="true" outlineLevel="0" collapsed="false">
      <c r="A2" s="3" t="s">
        <v>129</v>
      </c>
      <c r="B2" s="3"/>
      <c r="C2" s="3"/>
      <c r="D2" s="3"/>
    </row>
    <row r="3" customFormat="false" ht="15" hidden="false" customHeight="true" outlineLevel="0" collapsed="false">
      <c r="A3" s="4" t="s">
        <v>130</v>
      </c>
      <c r="B3" s="4"/>
      <c r="C3" s="4"/>
      <c r="D3" s="4"/>
    </row>
    <row r="5" customFormat="false" ht="18" hidden="false" customHeight="true" outlineLevel="0" collapsed="false">
      <c r="A5" s="11" t="s">
        <v>131</v>
      </c>
      <c r="B5" s="11"/>
      <c r="C5" s="11"/>
      <c r="D5" s="11"/>
    </row>
    <row r="6" customFormat="false" ht="15" hidden="false" customHeight="true" outlineLevel="0" collapsed="false">
      <c r="A6" s="10" t="s">
        <v>132</v>
      </c>
      <c r="B6" s="19" t="n">
        <f aca="false">'2. Closing Costs'!B26</f>
        <v>195075</v>
      </c>
      <c r="D6" s="13" t="s">
        <v>133</v>
      </c>
    </row>
    <row r="7" customFormat="false" ht="15" hidden="false" customHeight="true" outlineLevel="0" collapsed="false">
      <c r="A7" s="10" t="s">
        <v>134</v>
      </c>
      <c r="B7" s="12" t="n">
        <v>45000</v>
      </c>
    </row>
    <row r="8" customFormat="false" ht="15" hidden="false" customHeight="true" outlineLevel="0" collapsed="false">
      <c r="A8" s="10" t="s">
        <v>135</v>
      </c>
      <c r="B8" s="12" t="n">
        <v>2000</v>
      </c>
    </row>
    <row r="9" customFormat="false" ht="15" hidden="false" customHeight="true" outlineLevel="0" collapsed="false">
      <c r="A9" s="10" t="s">
        <v>136</v>
      </c>
      <c r="B9" s="14" t="n">
        <v>0.03</v>
      </c>
      <c r="D9" s="13" t="s">
        <v>137</v>
      </c>
    </row>
    <row r="10" customFormat="false" ht="15" hidden="false" customHeight="true" outlineLevel="0" collapsed="false">
      <c r="A10" s="18" t="s">
        <v>138</v>
      </c>
      <c r="B10" s="19" t="n">
        <f aca="false">MAX(B6-B7,0)</f>
        <v>150075</v>
      </c>
    </row>
    <row r="11" customFormat="false" ht="18" hidden="false" customHeight="true" outlineLevel="0" collapsed="false">
      <c r="A11" s="11" t="s">
        <v>139</v>
      </c>
      <c r="B11" s="11"/>
      <c r="C11" s="11"/>
      <c r="D11" s="11"/>
    </row>
    <row r="12" customFormat="false" ht="15" hidden="false" customHeight="true" outlineLevel="0" collapsed="false">
      <c r="A12" s="18" t="s">
        <v>140</v>
      </c>
      <c r="B12" s="26" t="n">
        <f aca="false">IF(B10&lt;=0,0,IF(B8&lt;=0,"Increase your monthly saving",IF(B9=0,B10/B8,NPER(B9/12,-B8,-B7,B6))))</f>
        <v>65.4743002638447</v>
      </c>
    </row>
    <row r="13" customFormat="false" ht="15" hidden="false" customHeight="true" outlineLevel="0" collapsed="false">
      <c r="A13" s="18" t="s">
        <v>141</v>
      </c>
      <c r="B13" s="27" t="n">
        <f aca="false">IF(ISNUMBER(B12),B12/12,"—")</f>
        <v>5.45619168865372</v>
      </c>
    </row>
    <row r="15" customFormat="false" ht="18" hidden="false" customHeight="true" outlineLevel="0" collapsed="false">
      <c r="A15" s="11" t="s">
        <v>142</v>
      </c>
      <c r="B15" s="11"/>
      <c r="C15" s="11"/>
      <c r="D15" s="11"/>
    </row>
    <row r="16" customFormat="false" ht="15" hidden="false" customHeight="true" outlineLevel="0" collapsed="false">
      <c r="A16" s="28" t="s">
        <v>143</v>
      </c>
      <c r="B16" s="28" t="s">
        <v>144</v>
      </c>
      <c r="C16" s="28" t="s">
        <v>145</v>
      </c>
    </row>
    <row r="17" customFormat="false" ht="15" hidden="false" customHeight="true" outlineLevel="0" collapsed="false">
      <c r="A17" s="17" t="n">
        <f aca="false">B8*1</f>
        <v>2000</v>
      </c>
      <c r="B17" s="29" t="n">
        <f aca="false">IF(B10&lt;=0,0,IF(A17&lt;=0,"—",IF(B9=0,B10/A17,NPER(B9/12,-A17,-B7,B6))))</f>
        <v>65.4743002638447</v>
      </c>
      <c r="C17" s="29" t="n">
        <f aca="false">IF(ISNUMBER(B17),B17/12,"—")</f>
        <v>5.45619168865372</v>
      </c>
    </row>
    <row r="18" customFormat="false" ht="15" hidden="false" customHeight="true" outlineLevel="0" collapsed="false">
      <c r="A18" s="17" t="n">
        <f aca="false">B8*1.25</f>
        <v>2500</v>
      </c>
      <c r="B18" s="29" t="n">
        <f aca="false">IF(B10&lt;=0,0,IF(A18&lt;=0,"—",IF(B9=0,B10/A18,NPER(B9/12,-A18,-B7,B6))))</f>
        <v>53.7438919093853</v>
      </c>
      <c r="C18" s="29" t="n">
        <f aca="false">IF(ISNUMBER(B18),B18/12,"—")</f>
        <v>4.47865765911544</v>
      </c>
    </row>
    <row r="19" customFormat="false" ht="15" hidden="false" customHeight="true" outlineLevel="0" collapsed="false">
      <c r="A19" s="17" t="n">
        <f aca="false">B8*1.5</f>
        <v>3000</v>
      </c>
      <c r="B19" s="29" t="n">
        <f aca="false">IF(B10&lt;=0,0,IF(A19&lt;=0,"—",IF(B9=0,B10/A19,NPER(B9/12,-A19,-B7,B6))))</f>
        <v>45.5819415832263</v>
      </c>
      <c r="C19" s="29" t="n">
        <f aca="false">IF(ISNUMBER(B19),B19/12,"—")</f>
        <v>3.79849513193553</v>
      </c>
    </row>
    <row r="20" customFormat="false" ht="15" hidden="false" customHeight="true" outlineLevel="0" collapsed="false">
      <c r="A20" s="17" t="n">
        <f aca="false">B8*2</f>
        <v>4000</v>
      </c>
      <c r="B20" s="29" t="n">
        <f aca="false">IF(B10&lt;=0,0,IF(A20&lt;=0,"—",IF(B9=0,B10/A20,NPER(B9/12,-A20,-B7,B6))))</f>
        <v>34.9662028755878</v>
      </c>
      <c r="C20" s="29" t="n">
        <f aca="false">IF(ISNUMBER(B20),B20/12,"—")</f>
        <v>2.91385023963232</v>
      </c>
    </row>
    <row r="22" customFormat="false" ht="15" hidden="false" customHeight="true" outlineLevel="0" collapsed="false">
      <c r="A22" s="30" t="s">
        <v>146</v>
      </c>
      <c r="B22" s="30"/>
      <c r="C22" s="30"/>
      <c r="D22" s="30"/>
    </row>
  </sheetData>
  <mergeCells count="7">
    <mergeCell ref="A1:D1"/>
    <mergeCell ref="A2:D2"/>
    <mergeCell ref="A3:D3"/>
    <mergeCell ref="A5:D5"/>
    <mergeCell ref="A11:D11"/>
    <mergeCell ref="A15:D15"/>
    <mergeCell ref="A22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2026-08-30T14:31:24Z</dcterms:created>
  <dc:creator>openpyxl</dc:creator>
  <dc:description/>
  <dc:language>en-US</dc:language>
  <cp:lastModifiedBy/>
  <dcterms:modified xsi:type="dcterms:W3CDTF">2026-08-30T14:32:36Z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